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4.2017 Kompleksowa dostawa gazu ziemnego dla potrzeb Gminy Roźwienica\"/>
    </mc:Choice>
  </mc:AlternateContent>
  <bookViews>
    <workbookView xWindow="0" yWindow="0" windowWidth="28770" windowHeight="11670" firstSheet="1" activeTab="2"/>
  </bookViews>
  <sheets>
    <sheet name="Zmiany" sheetId="9" state="hidden" r:id="rId1"/>
    <sheet name="Arkusz1" sheetId="24" r:id="rId2"/>
    <sheet name="Arkusz2" sheetId="25" r:id="rId3"/>
  </sheets>
  <calcPr calcId="152511"/>
</workbook>
</file>

<file path=xl/calcChain.xml><?xml version="1.0" encoding="utf-8"?>
<calcChain xmlns="http://schemas.openxmlformats.org/spreadsheetml/2006/main">
  <c r="F9" i="25" l="1"/>
  <c r="F10" i="25"/>
  <c r="F11" i="25"/>
  <c r="F12" i="25"/>
  <c r="F8" i="25"/>
  <c r="T12" i="25"/>
  <c r="S12" i="25"/>
  <c r="M12" i="25"/>
  <c r="K12" i="25"/>
  <c r="T11" i="25"/>
  <c r="S11" i="25"/>
  <c r="M11" i="25"/>
  <c r="K11" i="25"/>
  <c r="T10" i="25"/>
  <c r="S10" i="25"/>
  <c r="M10" i="25"/>
  <c r="K10" i="25"/>
  <c r="T8" i="25"/>
  <c r="S8" i="25"/>
  <c r="M8" i="25"/>
  <c r="K8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B7" i="25"/>
  <c r="A7" i="25"/>
  <c r="S13" i="25" l="1"/>
  <c r="T13" i="25"/>
  <c r="K10" i="24"/>
  <c r="K9" i="24"/>
  <c r="K8" i="24"/>
  <c r="K7" i="24"/>
  <c r="K6" i="24"/>
  <c r="K5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A4" i="24"/>
  <c r="M9" i="24" l="1"/>
  <c r="M5" i="24"/>
  <c r="M7" i="24"/>
  <c r="M8" i="24"/>
  <c r="M10" i="24"/>
  <c r="M6" i="24"/>
  <c r="Q9" i="24" l="1"/>
  <c r="Q7" i="24"/>
  <c r="Q5" i="24"/>
  <c r="Q8" i="24"/>
  <c r="Q6" i="24"/>
  <c r="Q10" i="24"/>
  <c r="O5" i="24" l="1"/>
  <c r="R5" i="24" s="1"/>
  <c r="S5" i="24" s="1"/>
  <c r="O7" i="24"/>
  <c r="R7" i="24" s="1"/>
  <c r="S7" i="24" s="1"/>
  <c r="T7" i="24" s="1"/>
  <c r="O9" i="24"/>
  <c r="R9" i="24" s="1"/>
  <c r="S9" i="24" s="1"/>
  <c r="T9" i="24" s="1"/>
  <c r="O6" i="24"/>
  <c r="R6" i="24" s="1"/>
  <c r="S6" i="24" s="1"/>
  <c r="T6" i="24" s="1"/>
  <c r="O8" i="24"/>
  <c r="R8" i="24" s="1"/>
  <c r="S8" i="24" s="1"/>
  <c r="T8" i="24" s="1"/>
  <c r="O10" i="24"/>
  <c r="R10" i="24" s="1"/>
  <c r="S10" i="24" s="1"/>
  <c r="T10" i="24" s="1"/>
  <c r="S11" i="24" l="1"/>
  <c r="T5" i="24"/>
  <c r="T11" i="24" s="1"/>
</calcChain>
</file>

<file path=xl/sharedStrings.xml><?xml version="1.0" encoding="utf-8"?>
<sst xmlns="http://schemas.openxmlformats.org/spreadsheetml/2006/main" count="155" uniqueCount="87">
  <si>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</si>
  <si>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</si>
  <si>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</si>
  <si>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</si>
  <si>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</si>
  <si>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</si>
  <si>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</si>
  <si>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</si>
  <si>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</si>
  <si>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</si>
  <si>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</si>
  <si>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</si>
  <si>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</si>
  <si>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</si>
  <si>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</si>
  <si>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</si>
  <si>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</si>
  <si>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</si>
  <si>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</si>
  <si>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</si>
  <si>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</si>
  <si>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</si>
  <si>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</si>
  <si>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</si>
  <si>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</si>
  <si>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</si>
  <si>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</si>
  <si>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</si>
  <si>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</si>
  <si>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</si>
  <si>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</si>
  <si>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</si>
  <si>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</si>
  <si>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</si>
  <si>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</si>
  <si>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</si>
  <si>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</si>
  <si>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</si>
  <si>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</si>
  <si>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</si>
  <si>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</si>
  <si>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</si>
  <si>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</si>
  <si>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</si>
  <si>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</si>
  <si>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</si>
  <si>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</si>
  <si>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</si>
  <si>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</si>
  <si>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</si>
  <si>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</si>
  <si>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r>
      <rPr>
        <b/>
        <sz val="9"/>
        <rFont val="Calibri"/>
        <family val="2"/>
        <charset val="238"/>
        <scheme val="minor"/>
      </rPr>
      <t>Szacunkowe zapotrzebowanie na paliwo gazowe zwolnione 
z akcyzy</t>
    </r>
    <r>
      <rPr>
        <sz val="9"/>
        <rFont val="Calibri"/>
        <family val="2"/>
        <charset val="238"/>
        <scheme val="minor"/>
      </rPr>
      <t xml:space="preserve"> 
(kWh)</t>
    </r>
  </si>
  <si>
    <r>
      <rPr>
        <b/>
        <sz val="9"/>
        <rFont val="Calibri"/>
        <family val="2"/>
        <charset val="238"/>
        <scheme val="minor"/>
      </rPr>
      <t>Szacunkowe zapotrzebowanie na paliwo gazowe opodatkowane akcyzą 1,28 zł/GJ</t>
    </r>
    <r>
      <rPr>
        <sz val="9"/>
        <rFont val="Calibri"/>
        <family val="2"/>
        <charset val="238"/>
        <scheme val="minor"/>
      </rPr>
      <t xml:space="preserve">
(kWh)</t>
    </r>
  </si>
  <si>
    <r>
      <rPr>
        <b/>
        <sz val="9"/>
        <rFont val="Calibri"/>
        <family val="2"/>
        <charset val="238"/>
        <scheme val="minor"/>
      </rPr>
      <t>Szacunkowe zapotrzebowanie na paliwo gazowe łącznie</t>
    </r>
    <r>
      <rPr>
        <sz val="9"/>
        <rFont val="Calibri"/>
        <family val="2"/>
        <charset val="238"/>
        <scheme val="minor"/>
      </rPr>
      <t xml:space="preserve"> 
(kWh)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</si>
  <si>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</si>
  <si>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</si>
  <si>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</si>
  <si>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</si>
  <si>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</si>
  <si>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</si>
  <si>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</si>
  <si>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</si>
  <si>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 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</si>
  <si>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t>Łącznie (zł)
(kol. 4 × kol. 10) /100 + (kol. 5 × kol. 11) /100 + (kol. 2 × kol. 7 × kol. 12)
(zaokrąglenie do 2 miejsc po przecinku)</t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</si>
  <si>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W-6, W-7</t>
    </r>
  </si>
  <si>
    <t>Łącznie opłata stała (zł)
a) (kol. 2 × kol. 7 × kol. 14) 
dla grup taryfowych z ozn.
W-1, W-2, W-3, W-4
b) (kol. 3 × kol. 8 × 24 h × kol. 14) /100 
dla grup taryfowych z ozn.
W-5, W-6, W-7
(zaokrąglenie do 2 
miejsc po przecinku)</t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</si>
  <si>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</si>
  <si>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t>Łącznie opłata zmienna (zł)
(kol. 6 × kol. 16) /100
(zaokrąglenie do 2 miejsc po przecinku)</t>
  </si>
  <si>
    <t>Łącznie usługi dystrybucyjne (zł)
(kol. 15 + kol. 17)</t>
  </si>
  <si>
    <t>(suma kol. 13 
+ kol. 18)</t>
  </si>
  <si>
    <t>(kol. 19) + podatek VAT
(zaokrąglenie do 2 miejsc po przecinku)</t>
  </si>
  <si>
    <t>W-1.1</t>
  </si>
  <si>
    <t>nd.</t>
  </si>
  <si>
    <t>PSG Sp. z o.o. - Tarnów</t>
  </si>
  <si>
    <t>W-2.1</t>
  </si>
  <si>
    <t>W-3.6</t>
  </si>
  <si>
    <t>W-3.9</t>
  </si>
  <si>
    <t>W-4</t>
  </si>
  <si>
    <t>W-5.1</t>
  </si>
  <si>
    <t>SUMA:</t>
  </si>
  <si>
    <t>Załącznik nr 3 do SIWZ - Formularz cenowy</t>
  </si>
  <si>
    <r>
      <rPr>
        <b/>
        <sz val="9"/>
        <rFont val="Calibri"/>
        <family val="2"/>
        <charset val="238"/>
        <scheme val="minor"/>
      </rPr>
      <t xml:space="preserve">Cena jednostkowa za gaz z akcyzą 1,28 zł/GJ*
</t>
    </r>
    <r>
      <rPr>
        <sz val="9"/>
        <rFont val="Calibri"/>
        <family val="2"/>
        <charset val="238"/>
        <scheme val="minor"/>
      </rPr>
      <t>(gr/kWh)
(kol. 10 + 0,362)</t>
    </r>
  </si>
  <si>
    <t>Załącznik Nr 3 - formularz cenowy</t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</si>
  <si>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 (zł/m-c) 
dla grup taryfowych z ozn. 
W-1, W-2, W-3, W-4
</t>
    </r>
  </si>
  <si>
    <t>Łącznie opłata stała (zł)
 (kol. 2 × kol. 7 × kol. 14) 
dla grup taryfowych z ozn.
W-1, W-2, W-3, W-4
(zaokrąglenie do 2 
miejsc po przecinku)</t>
  </si>
  <si>
    <t>W-1.2.</t>
  </si>
  <si>
    <t>PGNiG Obrót Detaliczny sp.z o.o Region Karpacki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</si>
</sst>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zoomScale="85" zoomScaleNormal="85" zoomScaleSheetLayoutView="85" workbookViewId="0">
      <selection activeCell="T11" sqref="A2:T11"/>
    </sheetView>
  </sheetViews>
  <sheetFormatPr defaultRowHeight="12.75"/>
  <cols>
    <col min="1" max="1" width="7.28515625" style="28" customWidth="1"/>
    <col min="2" max="2" width="7.42578125" style="28" customWidth="1"/>
    <col min="3" max="3" width="7.140625" style="28" customWidth="1"/>
    <col min="4" max="5" width="14.140625" style="28" customWidth="1"/>
    <col min="6" max="6" width="13.28515625" style="28" customWidth="1"/>
    <col min="7" max="7" width="7.140625" style="28" customWidth="1"/>
    <col min="8" max="8" width="6.42578125" style="28" customWidth="1"/>
    <col min="9" max="9" width="18.140625" style="28" customWidth="1"/>
    <col min="10" max="12" width="12.28515625" style="28" customWidth="1"/>
    <col min="13" max="13" width="15.7109375" style="28" customWidth="1"/>
    <col min="14" max="14" width="20" style="28" customWidth="1"/>
    <col min="15" max="15" width="18.85546875" style="28" customWidth="1"/>
    <col min="16" max="16" width="12.140625" style="28" customWidth="1"/>
    <col min="17" max="17" width="15.28515625" style="28" customWidth="1"/>
    <col min="18" max="18" width="13.28515625" style="28" customWidth="1"/>
    <col min="19" max="19" width="12.28515625" style="28" customWidth="1"/>
    <col min="20" max="20" width="12" style="28" customWidth="1"/>
    <col min="24" max="24" width="9.85546875" bestFit="1" customWidth="1"/>
  </cols>
  <sheetData>
    <row r="1" spans="1:20" ht="19.5" customHeight="1">
      <c r="A1" s="39" t="s">
        <v>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24" customHeight="1">
      <c r="A2" s="40" t="s">
        <v>48</v>
      </c>
      <c r="B2" s="40" t="s">
        <v>49</v>
      </c>
      <c r="C2" s="40" t="s">
        <v>50</v>
      </c>
      <c r="D2" s="38" t="s">
        <v>51</v>
      </c>
      <c r="E2" s="38" t="s">
        <v>52</v>
      </c>
      <c r="F2" s="38" t="s">
        <v>53</v>
      </c>
      <c r="G2" s="40" t="s">
        <v>54</v>
      </c>
      <c r="H2" s="40" t="s">
        <v>55</v>
      </c>
      <c r="I2" s="40" t="s">
        <v>56</v>
      </c>
      <c r="J2" s="41" t="s">
        <v>57</v>
      </c>
      <c r="K2" s="41"/>
      <c r="L2" s="41"/>
      <c r="M2" s="41"/>
      <c r="N2" s="41" t="s">
        <v>58</v>
      </c>
      <c r="O2" s="41"/>
      <c r="P2" s="41"/>
      <c r="Q2" s="41"/>
      <c r="R2" s="41"/>
      <c r="S2" s="18" t="s">
        <v>59</v>
      </c>
      <c r="T2" s="18" t="s">
        <v>60</v>
      </c>
    </row>
    <row r="3" spans="1:20" ht="156.75" customHeight="1">
      <c r="A3" s="40"/>
      <c r="B3" s="40"/>
      <c r="C3" s="40"/>
      <c r="D3" s="38"/>
      <c r="E3" s="38"/>
      <c r="F3" s="38"/>
      <c r="G3" s="40"/>
      <c r="H3" s="40"/>
      <c r="I3" s="40"/>
      <c r="J3" s="19" t="s">
        <v>61</v>
      </c>
      <c r="K3" s="32" t="s">
        <v>81</v>
      </c>
      <c r="L3" s="19" t="s">
        <v>62</v>
      </c>
      <c r="M3" s="19" t="s">
        <v>63</v>
      </c>
      <c r="N3" s="19" t="s">
        <v>64</v>
      </c>
      <c r="O3" s="19" t="s">
        <v>65</v>
      </c>
      <c r="P3" s="20" t="s">
        <v>66</v>
      </c>
      <c r="Q3" s="19" t="s">
        <v>67</v>
      </c>
      <c r="R3" s="19" t="s">
        <v>68</v>
      </c>
      <c r="S3" s="19" t="s">
        <v>69</v>
      </c>
      <c r="T3" s="19" t="s">
        <v>70</v>
      </c>
    </row>
    <row r="4" spans="1:20" ht="12.75" customHeight="1">
      <c r="A4" s="30" t="str">
        <f>"-1-"</f>
        <v>-1-</v>
      </c>
      <c r="B4" s="30" t="str">
        <f>"-2-"</f>
        <v>-2-</v>
      </c>
      <c r="C4" s="30" t="str">
        <f>"-3-"</f>
        <v>-3-</v>
      </c>
      <c r="D4" s="30" t="str">
        <f>"-4-"</f>
        <v>-4-</v>
      </c>
      <c r="E4" s="30" t="str">
        <f>"-5-"</f>
        <v>-5-</v>
      </c>
      <c r="F4" s="30" t="str">
        <f>"-6-"</f>
        <v>-6-</v>
      </c>
      <c r="G4" s="30" t="str">
        <f>"-7-"</f>
        <v>-7-</v>
      </c>
      <c r="H4" s="30" t="str">
        <f>"-8-"</f>
        <v>-8-</v>
      </c>
      <c r="I4" s="30" t="str">
        <f>"-9-"</f>
        <v>-9-</v>
      </c>
      <c r="J4" s="30" t="str">
        <f>"-10-"</f>
        <v>-10-</v>
      </c>
      <c r="K4" s="30" t="str">
        <f>"-11-"</f>
        <v>-11-</v>
      </c>
      <c r="L4" s="30" t="str">
        <f>"-12-"</f>
        <v>-12-</v>
      </c>
      <c r="M4" s="30" t="str">
        <f>"-13-"</f>
        <v>-13-</v>
      </c>
      <c r="N4" s="30" t="str">
        <f>"-14-"</f>
        <v>-14-</v>
      </c>
      <c r="O4" s="30" t="str">
        <f>"-15-"</f>
        <v>-15-</v>
      </c>
      <c r="P4" s="30" t="str">
        <f>"-16-"</f>
        <v>-16-</v>
      </c>
      <c r="Q4" s="30" t="str">
        <f>"-17-"</f>
        <v>-17-</v>
      </c>
      <c r="R4" s="30" t="str">
        <f>"-18-"</f>
        <v>-18-</v>
      </c>
      <c r="S4" s="30" t="str">
        <f>"-19-"</f>
        <v>-19-</v>
      </c>
      <c r="T4" s="30" t="str">
        <f>"-20-"</f>
        <v>-20-</v>
      </c>
    </row>
    <row r="5" spans="1:20" ht="32.25" customHeight="1">
      <c r="A5" s="21" t="s">
        <v>71</v>
      </c>
      <c r="B5" s="21">
        <v>1</v>
      </c>
      <c r="C5" s="22" t="s">
        <v>72</v>
      </c>
      <c r="D5" s="23">
        <v>0</v>
      </c>
      <c r="E5" s="23">
        <v>3176</v>
      </c>
      <c r="F5" s="23">
        <v>3176</v>
      </c>
      <c r="G5" s="23">
        <v>24</v>
      </c>
      <c r="H5" s="23" t="s">
        <v>72</v>
      </c>
      <c r="I5" s="29" t="s">
        <v>73</v>
      </c>
      <c r="J5" s="25"/>
      <c r="K5" s="26" t="str">
        <f>IF(J5=0,"",J5+0.362)</f>
        <v/>
      </c>
      <c r="L5" s="27"/>
      <c r="M5" s="24" t="str">
        <f>IF(J5&gt;0,ROUND(D5*J5/100+E5*K5/100+L5*G5*B5,2),"")</f>
        <v/>
      </c>
      <c r="N5" s="26">
        <v>3.54</v>
      </c>
      <c r="O5" s="24">
        <f t="shared" ref="O5:O10" si="0">ROUND(IF(VALUE(MID(A5,3,1))&lt;5,B5*N5*G5,(H5*24*C5*N5)/100),2)</f>
        <v>84.96</v>
      </c>
      <c r="P5" s="26">
        <v>5.3570000000000002</v>
      </c>
      <c r="Q5" s="24">
        <f t="shared" ref="Q5:Q10" si="1">ROUND(P5*F5/100,2)</f>
        <v>170.14</v>
      </c>
      <c r="R5" s="24">
        <f>O5+Q5</f>
        <v>255.09999999999997</v>
      </c>
      <c r="S5" s="24" t="str">
        <f>IF(J5&gt;0,M5+R5,"")</f>
        <v/>
      </c>
      <c r="T5" s="24" t="str">
        <f>IF(J5&gt;0,ROUND(S5*1.23,2),"")</f>
        <v/>
      </c>
    </row>
    <row r="6" spans="1:20" ht="32.25" customHeight="1">
      <c r="A6" s="21" t="s">
        <v>74</v>
      </c>
      <c r="B6" s="21">
        <v>4</v>
      </c>
      <c r="C6" s="22" t="s">
        <v>72</v>
      </c>
      <c r="D6" s="23">
        <v>41252</v>
      </c>
      <c r="E6" s="23">
        <v>19696</v>
      </c>
      <c r="F6" s="23">
        <v>60948</v>
      </c>
      <c r="G6" s="23">
        <v>24</v>
      </c>
      <c r="H6" s="23" t="s">
        <v>72</v>
      </c>
      <c r="I6" s="29" t="s">
        <v>73</v>
      </c>
      <c r="J6" s="25"/>
      <c r="K6" s="26" t="str">
        <f t="shared" ref="K6:K10" si="2">IF(J6=0,"",J6+0.362)</f>
        <v/>
      </c>
      <c r="L6" s="27"/>
      <c r="M6" s="24" t="str">
        <f t="shared" ref="M6:M10" si="3">IF(J6&gt;0,ROUND(D6*J6/100+E6*K6/100+L6*G6*B6,2),"")</f>
        <v/>
      </c>
      <c r="N6" s="26">
        <v>9</v>
      </c>
      <c r="O6" s="24">
        <f t="shared" si="0"/>
        <v>864</v>
      </c>
      <c r="P6" s="26">
        <v>3.8959999999999999</v>
      </c>
      <c r="Q6" s="24">
        <f t="shared" si="1"/>
        <v>2374.5300000000002</v>
      </c>
      <c r="R6" s="24">
        <f t="shared" ref="R6:R10" si="4">O6+Q6</f>
        <v>3238.53</v>
      </c>
      <c r="S6" s="24" t="str">
        <f t="shared" ref="S6:S10" si="5">IF(J6&gt;0,M6+R6,"")</f>
        <v/>
      </c>
      <c r="T6" s="24" t="str">
        <f t="shared" ref="T6:T10" si="6">IF(J6&gt;0,ROUND(S6*1.23,2),"")</f>
        <v/>
      </c>
    </row>
    <row r="7" spans="1:20" ht="32.25" customHeight="1">
      <c r="A7" s="21" t="s">
        <v>75</v>
      </c>
      <c r="B7" s="21">
        <v>12</v>
      </c>
      <c r="C7" s="22" t="s">
        <v>72</v>
      </c>
      <c r="D7" s="23">
        <v>227018</v>
      </c>
      <c r="E7" s="23">
        <v>406428</v>
      </c>
      <c r="F7" s="23">
        <v>633446</v>
      </c>
      <c r="G7" s="23">
        <v>24</v>
      </c>
      <c r="H7" s="23" t="s">
        <v>72</v>
      </c>
      <c r="I7" s="29" t="s">
        <v>73</v>
      </c>
      <c r="J7" s="25"/>
      <c r="K7" s="26" t="str">
        <f t="shared" si="2"/>
        <v/>
      </c>
      <c r="L7" s="27"/>
      <c r="M7" s="24" t="str">
        <f t="shared" si="3"/>
        <v/>
      </c>
      <c r="N7" s="26">
        <v>34.78</v>
      </c>
      <c r="O7" s="24">
        <f t="shared" si="0"/>
        <v>10016.64</v>
      </c>
      <c r="P7" s="26">
        <v>2.9209999999999998</v>
      </c>
      <c r="Q7" s="24">
        <f t="shared" si="1"/>
        <v>18502.96</v>
      </c>
      <c r="R7" s="24">
        <f t="shared" si="4"/>
        <v>28519.599999999999</v>
      </c>
      <c r="S7" s="24" t="str">
        <f t="shared" si="5"/>
        <v/>
      </c>
      <c r="T7" s="24" t="str">
        <f t="shared" si="6"/>
        <v/>
      </c>
    </row>
    <row r="8" spans="1:20" ht="32.25" customHeight="1">
      <c r="A8" s="21" t="s">
        <v>76</v>
      </c>
      <c r="B8" s="21">
        <v>1</v>
      </c>
      <c r="C8" s="22" t="s">
        <v>72</v>
      </c>
      <c r="D8" s="23">
        <v>48502</v>
      </c>
      <c r="E8" s="23">
        <v>0</v>
      </c>
      <c r="F8" s="23">
        <v>48502</v>
      </c>
      <c r="G8" s="23">
        <v>24</v>
      </c>
      <c r="H8" s="23" t="s">
        <v>72</v>
      </c>
      <c r="I8" s="29" t="s">
        <v>73</v>
      </c>
      <c r="J8" s="25"/>
      <c r="K8" s="26" t="str">
        <f t="shared" si="2"/>
        <v/>
      </c>
      <c r="L8" s="27"/>
      <c r="M8" s="24" t="str">
        <f t="shared" si="3"/>
        <v/>
      </c>
      <c r="N8" s="26">
        <v>37.369999999999997</v>
      </c>
      <c r="O8" s="24">
        <f t="shared" si="0"/>
        <v>896.88</v>
      </c>
      <c r="P8" s="26">
        <v>2.9209999999999998</v>
      </c>
      <c r="Q8" s="24">
        <f t="shared" si="1"/>
        <v>1416.74</v>
      </c>
      <c r="R8" s="24">
        <f t="shared" si="4"/>
        <v>2313.62</v>
      </c>
      <c r="S8" s="24" t="str">
        <f t="shared" si="5"/>
        <v/>
      </c>
      <c r="T8" s="24" t="str">
        <f t="shared" si="6"/>
        <v/>
      </c>
    </row>
    <row r="9" spans="1:20" ht="32.25" customHeight="1">
      <c r="A9" s="21" t="s">
        <v>77</v>
      </c>
      <c r="B9" s="21">
        <v>4</v>
      </c>
      <c r="C9" s="22" t="s">
        <v>72</v>
      </c>
      <c r="D9" s="23">
        <v>702264</v>
      </c>
      <c r="E9" s="23">
        <v>151416</v>
      </c>
      <c r="F9" s="23">
        <v>853680</v>
      </c>
      <c r="G9" s="23">
        <v>24</v>
      </c>
      <c r="H9" s="23" t="s">
        <v>72</v>
      </c>
      <c r="I9" s="29" t="s">
        <v>73</v>
      </c>
      <c r="J9" s="25"/>
      <c r="K9" s="26" t="str">
        <f t="shared" si="2"/>
        <v/>
      </c>
      <c r="L9" s="27"/>
      <c r="M9" s="24" t="str">
        <f t="shared" si="3"/>
        <v/>
      </c>
      <c r="N9" s="26">
        <v>194.29</v>
      </c>
      <c r="O9" s="24">
        <f t="shared" si="0"/>
        <v>18651.84</v>
      </c>
      <c r="P9" s="26">
        <v>2.863</v>
      </c>
      <c r="Q9" s="24">
        <f t="shared" si="1"/>
        <v>24440.86</v>
      </c>
      <c r="R9" s="24">
        <f t="shared" si="4"/>
        <v>43092.7</v>
      </c>
      <c r="S9" s="24" t="str">
        <f t="shared" si="5"/>
        <v/>
      </c>
      <c r="T9" s="24" t="str">
        <f t="shared" si="6"/>
        <v/>
      </c>
    </row>
    <row r="10" spans="1:20" ht="32.25" customHeight="1">
      <c r="A10" s="21" t="s">
        <v>78</v>
      </c>
      <c r="B10" s="21">
        <v>5</v>
      </c>
      <c r="C10" s="22">
        <v>1052</v>
      </c>
      <c r="D10" s="23">
        <v>2468412</v>
      </c>
      <c r="E10" s="23">
        <v>154384</v>
      </c>
      <c r="F10" s="23">
        <v>2622796</v>
      </c>
      <c r="G10" s="23">
        <v>24</v>
      </c>
      <c r="H10" s="23">
        <v>730</v>
      </c>
      <c r="I10" s="29" t="s">
        <v>73</v>
      </c>
      <c r="J10" s="25"/>
      <c r="K10" s="26" t="str">
        <f t="shared" si="2"/>
        <v/>
      </c>
      <c r="L10" s="27"/>
      <c r="M10" s="24" t="str">
        <f t="shared" si="3"/>
        <v/>
      </c>
      <c r="N10" s="26">
        <v>0.502</v>
      </c>
      <c r="O10" s="24">
        <f t="shared" si="0"/>
        <v>92523.82</v>
      </c>
      <c r="P10" s="26">
        <v>2.5950000000000002</v>
      </c>
      <c r="Q10" s="24">
        <f t="shared" si="1"/>
        <v>68061.56</v>
      </c>
      <c r="R10" s="24">
        <f t="shared" si="4"/>
        <v>160585.38</v>
      </c>
      <c r="S10" s="24" t="str">
        <f t="shared" si="5"/>
        <v/>
      </c>
      <c r="T10" s="24" t="str">
        <f t="shared" si="6"/>
        <v/>
      </c>
    </row>
    <row r="11" spans="1:20" ht="32.25" customHeight="1">
      <c r="R11" s="33" t="s">
        <v>79</v>
      </c>
      <c r="S11" s="31" t="str">
        <f>IF(SUM(S5:S10)=0,"",SUM(S5:S10))</f>
        <v/>
      </c>
      <c r="T11" s="31" t="str">
        <f>IF(SUM(T5:T10)=0,"",SUM(T5:T10))</f>
        <v/>
      </c>
    </row>
  </sheetData>
  <sheetProtection password="CC71" sheet="1" objects="1" scenarios="1"/>
  <protectedRanges>
    <protectedRange sqref="J5:J10" name="Rozstęp1"/>
    <protectedRange sqref="L5:L10" name="Rozstęp2"/>
  </protectedRanges>
  <mergeCells count="12">
    <mergeCell ref="F2:F3"/>
    <mergeCell ref="A1:T1"/>
    <mergeCell ref="G2:G3"/>
    <mergeCell ref="H2:H3"/>
    <mergeCell ref="I2:I3"/>
    <mergeCell ref="J2:M2"/>
    <mergeCell ref="N2:R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B5" zoomScale="130" zoomScaleNormal="130" workbookViewId="0">
      <selection activeCell="B14" sqref="B14"/>
    </sheetView>
  </sheetViews>
  <sheetFormatPr defaultRowHeight="12.75"/>
  <cols>
    <col min="1" max="1" width="9.42578125" customWidth="1"/>
    <col min="2" max="2" width="16.85546875" customWidth="1"/>
    <col min="3" max="3" width="14.42578125" customWidth="1"/>
    <col min="4" max="4" width="15" customWidth="1"/>
    <col min="5" max="5" width="16.7109375" customWidth="1"/>
    <col min="6" max="6" width="13" customWidth="1"/>
    <col min="9" max="9" width="20" customWidth="1"/>
    <col min="10" max="10" width="17.140625" customWidth="1"/>
    <col min="11" max="11" width="17.85546875" customWidth="1"/>
    <col min="12" max="12" width="18.7109375" customWidth="1"/>
    <col min="13" max="13" width="23.85546875" customWidth="1"/>
    <col min="14" max="14" width="22" customWidth="1"/>
    <col min="15" max="15" width="20.28515625" customWidth="1"/>
    <col min="16" max="16" width="14.140625" customWidth="1"/>
    <col min="17" max="17" width="18.85546875" customWidth="1"/>
    <col min="18" max="18" width="13.140625" customWidth="1"/>
    <col min="19" max="19" width="14.7109375" customWidth="1"/>
    <col min="20" max="20" width="11.85546875" customWidth="1"/>
  </cols>
  <sheetData>
    <row r="1" spans="1:20">
      <c r="R1" s="43" t="s">
        <v>82</v>
      </c>
      <c r="S1" s="43"/>
      <c r="T1" s="43"/>
    </row>
    <row r="5" spans="1:20" ht="24">
      <c r="A5" s="40" t="s">
        <v>48</v>
      </c>
      <c r="B5" s="40" t="s">
        <v>49</v>
      </c>
      <c r="C5" s="40" t="s">
        <v>50</v>
      </c>
      <c r="D5" s="38" t="s">
        <v>51</v>
      </c>
      <c r="E5" s="38" t="s">
        <v>52</v>
      </c>
      <c r="F5" s="38" t="s">
        <v>53</v>
      </c>
      <c r="G5" s="40" t="s">
        <v>54</v>
      </c>
      <c r="H5" s="40" t="s">
        <v>55</v>
      </c>
      <c r="I5" s="40" t="s">
        <v>56</v>
      </c>
      <c r="J5" s="42" t="s">
        <v>57</v>
      </c>
      <c r="K5" s="42"/>
      <c r="L5" s="42"/>
      <c r="M5" s="42"/>
      <c r="N5" s="42" t="s">
        <v>58</v>
      </c>
      <c r="O5" s="42"/>
      <c r="P5" s="42"/>
      <c r="Q5" s="42"/>
      <c r="R5" s="42"/>
      <c r="S5" s="36" t="s">
        <v>59</v>
      </c>
      <c r="T5" s="36" t="s">
        <v>60</v>
      </c>
    </row>
    <row r="6" spans="1:20" ht="210" customHeight="1">
      <c r="A6" s="40"/>
      <c r="B6" s="40"/>
      <c r="C6" s="40"/>
      <c r="D6" s="38"/>
      <c r="E6" s="38"/>
      <c r="F6" s="38"/>
      <c r="G6" s="40"/>
      <c r="H6" s="40"/>
      <c r="I6" s="40"/>
      <c r="J6" s="34" t="s">
        <v>61</v>
      </c>
      <c r="K6" s="34" t="s">
        <v>81</v>
      </c>
      <c r="L6" s="34" t="s">
        <v>62</v>
      </c>
      <c r="M6" s="34" t="s">
        <v>63</v>
      </c>
      <c r="N6" s="34" t="s">
        <v>83</v>
      </c>
      <c r="O6" s="34" t="s">
        <v>84</v>
      </c>
      <c r="P6" s="35" t="s">
        <v>66</v>
      </c>
      <c r="Q6" s="34" t="s">
        <v>67</v>
      </c>
      <c r="R6" s="34" t="s">
        <v>68</v>
      </c>
      <c r="S6" s="34" t="s">
        <v>69</v>
      </c>
      <c r="T6" s="34" t="s">
        <v>70</v>
      </c>
    </row>
    <row r="7" spans="1:20">
      <c r="A7" s="30" t="str">
        <f>"-1-"</f>
        <v>-1-</v>
      </c>
      <c r="B7" s="30" t="str">
        <f>"-2-"</f>
        <v>-2-</v>
      </c>
      <c r="C7" s="30" t="str">
        <f>"-3-"</f>
        <v>-3-</v>
      </c>
      <c r="D7" s="30" t="str">
        <f>"-4-"</f>
        <v>-4-</v>
      </c>
      <c r="E7" s="30" t="str">
        <f>"-5-"</f>
        <v>-5-</v>
      </c>
      <c r="F7" s="30" t="str">
        <f>"-6-"</f>
        <v>-6-</v>
      </c>
      <c r="G7" s="30" t="str">
        <f>"-7-"</f>
        <v>-7-</v>
      </c>
      <c r="H7" s="30" t="str">
        <f>"-8-"</f>
        <v>-8-</v>
      </c>
      <c r="I7" s="30" t="str">
        <f>"-9-"</f>
        <v>-9-</v>
      </c>
      <c r="J7" s="30" t="str">
        <f>"-10-"</f>
        <v>-10-</v>
      </c>
      <c r="K7" s="30" t="str">
        <f>"-11-"</f>
        <v>-11-</v>
      </c>
      <c r="L7" s="30" t="str">
        <f>"-12-"</f>
        <v>-12-</v>
      </c>
      <c r="M7" s="30" t="str">
        <f>"-13-"</f>
        <v>-13-</v>
      </c>
      <c r="N7" s="30" t="str">
        <f>"-14-"</f>
        <v>-14-</v>
      </c>
      <c r="O7" s="30" t="str">
        <f>"-15-"</f>
        <v>-15-</v>
      </c>
      <c r="P7" s="30" t="str">
        <f>"-16-"</f>
        <v>-16-</v>
      </c>
      <c r="Q7" s="30" t="str">
        <f>"-17-"</f>
        <v>-17-</v>
      </c>
      <c r="R7" s="30" t="str">
        <f>"-18-"</f>
        <v>-18-</v>
      </c>
      <c r="S7" s="30" t="str">
        <f>"-19-"</f>
        <v>-19-</v>
      </c>
      <c r="T7" s="30" t="str">
        <f>"-20-"</f>
        <v>-20-</v>
      </c>
    </row>
    <row r="8" spans="1:20" ht="37.5" customHeight="1">
      <c r="A8" s="21" t="s">
        <v>71</v>
      </c>
      <c r="B8" s="21">
        <v>7</v>
      </c>
      <c r="C8" s="22" t="s">
        <v>72</v>
      </c>
      <c r="D8" s="23">
        <v>2874</v>
      </c>
      <c r="E8" s="23">
        <v>0</v>
      </c>
      <c r="F8" s="23">
        <f>D8+E8</f>
        <v>2874</v>
      </c>
      <c r="G8" s="23">
        <v>12</v>
      </c>
      <c r="H8" s="23" t="s">
        <v>72</v>
      </c>
      <c r="I8" s="37" t="s">
        <v>86</v>
      </c>
      <c r="J8" s="26"/>
      <c r="K8" s="26" t="str">
        <f>IF(J8=0,"",J8+0.362)</f>
        <v/>
      </c>
      <c r="L8" s="29"/>
      <c r="M8" s="24" t="str">
        <f>IF(J8&gt;0,ROUND(D8*J8/100+E8*K8/100+L8*G8*B8,2),"")</f>
        <v/>
      </c>
      <c r="N8" s="26"/>
      <c r="O8" s="24"/>
      <c r="P8" s="26"/>
      <c r="Q8" s="24"/>
      <c r="R8" s="24"/>
      <c r="S8" s="24" t="str">
        <f>IF(J8&gt;0,M8+R8,"")</f>
        <v/>
      </c>
      <c r="T8" s="24" t="str">
        <f>IF(J8&gt;0,ROUND(S8*1.23,2),"")</f>
        <v/>
      </c>
    </row>
    <row r="9" spans="1:20" ht="34.5" customHeight="1">
      <c r="A9" s="21" t="s">
        <v>85</v>
      </c>
      <c r="B9" s="21">
        <v>1</v>
      </c>
      <c r="C9" s="22" t="s">
        <v>72</v>
      </c>
      <c r="D9" s="23">
        <v>362</v>
      </c>
      <c r="E9" s="23">
        <v>0</v>
      </c>
      <c r="F9" s="23">
        <f t="shared" ref="F9:F12" si="0">D9+E9</f>
        <v>362</v>
      </c>
      <c r="G9" s="23">
        <v>12</v>
      </c>
      <c r="H9" s="23" t="s">
        <v>72</v>
      </c>
      <c r="I9" s="37" t="s">
        <v>86</v>
      </c>
      <c r="J9" s="26"/>
      <c r="K9" s="26"/>
      <c r="L9" s="29"/>
      <c r="M9" s="24"/>
      <c r="N9" s="26"/>
      <c r="O9" s="24"/>
      <c r="P9" s="26"/>
      <c r="Q9" s="24"/>
      <c r="R9" s="24"/>
      <c r="S9" s="24"/>
      <c r="T9" s="24"/>
    </row>
    <row r="10" spans="1:20" ht="33" customHeight="1">
      <c r="A10" s="21" t="s">
        <v>74</v>
      </c>
      <c r="B10" s="21">
        <v>3</v>
      </c>
      <c r="C10" s="22" t="s">
        <v>72</v>
      </c>
      <c r="D10" s="23">
        <v>22109</v>
      </c>
      <c r="E10" s="23">
        <v>0</v>
      </c>
      <c r="F10" s="23">
        <f t="shared" si="0"/>
        <v>22109</v>
      </c>
      <c r="G10" s="23">
        <v>12</v>
      </c>
      <c r="H10" s="23" t="s">
        <v>72</v>
      </c>
      <c r="I10" s="37" t="s">
        <v>86</v>
      </c>
      <c r="J10" s="26"/>
      <c r="K10" s="26" t="str">
        <f t="shared" ref="K10:K12" si="1">IF(J10=0,"",J10+0.362)</f>
        <v/>
      </c>
      <c r="L10" s="29"/>
      <c r="M10" s="24" t="str">
        <f t="shared" ref="M10:M12" si="2">IF(J10&gt;0,ROUND(D10*J10/100+E10*K10/100+L10*G10*B10,2),"")</f>
        <v/>
      </c>
      <c r="N10" s="26"/>
      <c r="O10" s="24"/>
      <c r="P10" s="26"/>
      <c r="Q10" s="24"/>
      <c r="R10" s="24"/>
      <c r="S10" s="24" t="str">
        <f t="shared" ref="S10:S12" si="3">IF(J10&gt;0,M10+R10,"")</f>
        <v/>
      </c>
      <c r="T10" s="24" t="str">
        <f t="shared" ref="T10:T12" si="4">IF(J10&gt;0,ROUND(S10*1.23,2),"")</f>
        <v/>
      </c>
    </row>
    <row r="11" spans="1:20" ht="33.75" customHeight="1">
      <c r="A11" s="21" t="s">
        <v>75</v>
      </c>
      <c r="B11" s="21">
        <v>5</v>
      </c>
      <c r="C11" s="22" t="s">
        <v>72</v>
      </c>
      <c r="D11" s="23">
        <v>172002</v>
      </c>
      <c r="E11" s="23">
        <v>81608</v>
      </c>
      <c r="F11" s="23">
        <f t="shared" si="0"/>
        <v>253610</v>
      </c>
      <c r="G11" s="23">
        <v>12</v>
      </c>
      <c r="H11" s="23" t="s">
        <v>72</v>
      </c>
      <c r="I11" s="37" t="s">
        <v>86</v>
      </c>
      <c r="J11" s="26"/>
      <c r="K11" s="26" t="str">
        <f t="shared" si="1"/>
        <v/>
      </c>
      <c r="L11" s="29"/>
      <c r="M11" s="24" t="str">
        <f t="shared" si="2"/>
        <v/>
      </c>
      <c r="N11" s="26"/>
      <c r="O11" s="24"/>
      <c r="P11" s="26"/>
      <c r="Q11" s="24"/>
      <c r="R11" s="24"/>
      <c r="S11" s="24" t="str">
        <f t="shared" si="3"/>
        <v/>
      </c>
      <c r="T11" s="24" t="str">
        <f t="shared" si="4"/>
        <v/>
      </c>
    </row>
    <row r="12" spans="1:20" ht="36" customHeight="1">
      <c r="A12" s="21" t="s">
        <v>77</v>
      </c>
      <c r="B12" s="21">
        <v>3</v>
      </c>
      <c r="C12" s="22" t="s">
        <v>72</v>
      </c>
      <c r="D12" s="23">
        <v>214230</v>
      </c>
      <c r="E12" s="23">
        <v>264444</v>
      </c>
      <c r="F12" s="23">
        <f t="shared" si="0"/>
        <v>478674</v>
      </c>
      <c r="G12" s="23">
        <v>12</v>
      </c>
      <c r="H12" s="23" t="s">
        <v>72</v>
      </c>
      <c r="I12" s="37" t="s">
        <v>86</v>
      </c>
      <c r="J12" s="26"/>
      <c r="K12" s="26" t="str">
        <f t="shared" si="1"/>
        <v/>
      </c>
      <c r="L12" s="29"/>
      <c r="M12" s="24" t="str">
        <f t="shared" si="2"/>
        <v/>
      </c>
      <c r="N12" s="26"/>
      <c r="O12" s="24"/>
      <c r="P12" s="26"/>
      <c r="Q12" s="24"/>
      <c r="R12" s="24"/>
      <c r="S12" s="24" t="str">
        <f t="shared" si="3"/>
        <v/>
      </c>
      <c r="T12" s="24" t="str">
        <f t="shared" si="4"/>
        <v/>
      </c>
    </row>
    <row r="13" spans="1:20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3" t="s">
        <v>79</v>
      </c>
      <c r="S13" s="31" t="str">
        <f>IF(SUM(S8:S12)=0,"",SUM(S8:S12))</f>
        <v/>
      </c>
      <c r="T13" s="31" t="str">
        <f>IF(SUM(T8:T12)=0,"",SUM(T8:T12))</f>
        <v/>
      </c>
    </row>
  </sheetData>
  <protectedRanges>
    <protectedRange sqref="J8:J12" name="Rozstęp1"/>
    <protectedRange sqref="L8:L12" name="Rozstęp2"/>
  </protectedRanges>
  <mergeCells count="12">
    <mergeCell ref="R1:T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R5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Zmiany</vt:lpstr>
      <vt:lpstr>Arkusz1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mgdula</cp:lastModifiedBy>
  <cp:lastPrinted>2017-11-07T10:19:44Z</cp:lastPrinted>
  <dcterms:created xsi:type="dcterms:W3CDTF">2010-01-11T11:46:38Z</dcterms:created>
  <dcterms:modified xsi:type="dcterms:W3CDTF">2017-11-07T10:19:50Z</dcterms:modified>
</cp:coreProperties>
</file>